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0" yWindow="0" windowWidth="24700" windowHeight="15560" tabRatio="500"/>
  </bookViews>
  <sheets>
    <sheet name="Sheet1" sheetId="1" r:id="rId1"/>
  </sheets>
  <definedNames>
    <definedName name="alpha">Sheet1!$B$7</definedName>
    <definedName name="AVaR1">Sheet1!$B$13</definedName>
    <definedName name="AVaR2">Sheet1!#REF!</definedName>
    <definedName name="h">Sheet1!#REF!</definedName>
    <definedName name="K">Sheet1!#REF!</definedName>
    <definedName name="mu">Sheet1!$B$3</definedName>
    <definedName name="P_mu_alpha">Sheet1!$K$6:$K$8</definedName>
    <definedName name="Po">Sheet1!#REF!</definedName>
    <definedName name="qS">Sheet1!$B$11</definedName>
    <definedName name="qZ">Sheet1!$B$10</definedName>
    <definedName name="rf">Sheet1!$B$5</definedName>
    <definedName name="sigma">Sheet1!$B$4</definedName>
    <definedName name="So">Sheet1!$B$2</definedName>
    <definedName name="solver_adj" localSheetId="0" hidden="1">Sheet1!$E$6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itr" localSheetId="0" hidden="1">2147483647</definedName>
    <definedName name="solver_lhs1" localSheetId="0" hidden="1">Sheet1!$G$11</definedName>
    <definedName name="solver_lhs2" localSheetId="0" hidden="1">Sheet1!$H$11</definedName>
    <definedName name="solver_lhs3" localSheetId="0" hidden="1">Sheet1!$I$11</definedName>
    <definedName name="solver_lhs4" localSheetId="0" hidden="1">Sheet1!$J$11</definedName>
    <definedName name="solver_lhs5" localSheetId="0" hidden="1">Sheet1!$K$11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opt" localSheetId="0" hidden="1">Sheet1!$K$2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2</definedName>
    <definedName name="SoN">Sheet1!$C$13</definedName>
    <definedName name="T">Sheet1!$B$6</definedName>
    <definedName name="V">Sheet1!$B$1</definedName>
    <definedName name="x">Sheet1!$B$8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4" i="1" l="1"/>
  <c r="N35" i="1"/>
  <c r="N36" i="1"/>
  <c r="N37" i="1"/>
  <c r="N38" i="1"/>
  <c r="N39" i="1"/>
  <c r="N40" i="1"/>
  <c r="N41" i="1"/>
  <c r="N42" i="1"/>
  <c r="N43" i="1"/>
  <c r="N33" i="1"/>
  <c r="M34" i="1"/>
  <c r="M35" i="1"/>
  <c r="M36" i="1"/>
  <c r="M37" i="1"/>
  <c r="M38" i="1"/>
  <c r="M39" i="1"/>
  <c r="M40" i="1"/>
  <c r="M41" i="1"/>
  <c r="M42" i="1"/>
  <c r="M43" i="1"/>
  <c r="L34" i="1"/>
  <c r="L35" i="1"/>
  <c r="L36" i="1"/>
  <c r="L37" i="1"/>
  <c r="L38" i="1"/>
  <c r="L39" i="1"/>
  <c r="L40" i="1"/>
  <c r="L41" i="1"/>
  <c r="L42" i="1"/>
  <c r="L43" i="1"/>
  <c r="M33" i="1"/>
  <c r="L33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F7" i="1"/>
  <c r="G7" i="1"/>
  <c r="H7" i="1"/>
  <c r="L7" i="1"/>
  <c r="B10" i="1"/>
  <c r="J7" i="1"/>
  <c r="I7" i="1"/>
  <c r="K7" i="1"/>
  <c r="C13" i="1"/>
  <c r="F8" i="1"/>
  <c r="G8" i="1"/>
  <c r="H8" i="1"/>
  <c r="L8" i="1"/>
  <c r="J8" i="1"/>
  <c r="I8" i="1"/>
  <c r="K8" i="1"/>
  <c r="F9" i="1"/>
  <c r="G9" i="1"/>
  <c r="H9" i="1"/>
  <c r="L9" i="1"/>
  <c r="J9" i="1"/>
  <c r="I9" i="1"/>
  <c r="K9" i="1"/>
  <c r="F10" i="1"/>
  <c r="G10" i="1"/>
  <c r="H10" i="1"/>
  <c r="L10" i="1"/>
  <c r="J10" i="1"/>
  <c r="I10" i="1"/>
  <c r="K10" i="1"/>
  <c r="F11" i="1"/>
  <c r="G11" i="1"/>
  <c r="H11" i="1"/>
  <c r="L11" i="1"/>
  <c r="J11" i="1"/>
  <c r="I11" i="1"/>
  <c r="K11" i="1"/>
  <c r="F12" i="1"/>
  <c r="G12" i="1"/>
  <c r="H12" i="1"/>
  <c r="L12" i="1"/>
  <c r="J12" i="1"/>
  <c r="I12" i="1"/>
  <c r="K12" i="1"/>
  <c r="F13" i="1"/>
  <c r="G13" i="1"/>
  <c r="H13" i="1"/>
  <c r="L13" i="1"/>
  <c r="J13" i="1"/>
  <c r="I13" i="1"/>
  <c r="K13" i="1"/>
  <c r="F14" i="1"/>
  <c r="G14" i="1"/>
  <c r="H14" i="1"/>
  <c r="L14" i="1"/>
  <c r="J14" i="1"/>
  <c r="I14" i="1"/>
  <c r="K14" i="1"/>
  <c r="F15" i="1"/>
  <c r="G15" i="1"/>
  <c r="H15" i="1"/>
  <c r="L15" i="1"/>
  <c r="J15" i="1"/>
  <c r="I15" i="1"/>
  <c r="K15" i="1"/>
  <c r="F16" i="1"/>
  <c r="G16" i="1"/>
  <c r="H16" i="1"/>
  <c r="L16" i="1"/>
  <c r="J16" i="1"/>
  <c r="I16" i="1"/>
  <c r="K16" i="1"/>
  <c r="F17" i="1"/>
  <c r="G17" i="1"/>
  <c r="H17" i="1"/>
  <c r="L17" i="1"/>
  <c r="J17" i="1"/>
  <c r="I17" i="1"/>
  <c r="K17" i="1"/>
  <c r="F18" i="1"/>
  <c r="G18" i="1"/>
  <c r="H18" i="1"/>
  <c r="L18" i="1"/>
  <c r="J18" i="1"/>
  <c r="I18" i="1"/>
  <c r="K18" i="1"/>
  <c r="F19" i="1"/>
  <c r="G19" i="1"/>
  <c r="H19" i="1"/>
  <c r="L19" i="1"/>
  <c r="J19" i="1"/>
  <c r="I19" i="1"/>
  <c r="K19" i="1"/>
  <c r="F20" i="1"/>
  <c r="G20" i="1"/>
  <c r="H20" i="1"/>
  <c r="L20" i="1"/>
  <c r="J20" i="1"/>
  <c r="I20" i="1"/>
  <c r="K20" i="1"/>
  <c r="F21" i="1"/>
  <c r="G21" i="1"/>
  <c r="H21" i="1"/>
  <c r="L21" i="1"/>
  <c r="J21" i="1"/>
  <c r="I21" i="1"/>
  <c r="K21" i="1"/>
  <c r="F22" i="1"/>
  <c r="G22" i="1"/>
  <c r="H22" i="1"/>
  <c r="L22" i="1"/>
  <c r="J22" i="1"/>
  <c r="I22" i="1"/>
  <c r="K22" i="1"/>
  <c r="F23" i="1"/>
  <c r="G23" i="1"/>
  <c r="H23" i="1"/>
  <c r="L23" i="1"/>
  <c r="J23" i="1"/>
  <c r="I23" i="1"/>
  <c r="K23" i="1"/>
  <c r="F24" i="1"/>
  <c r="G24" i="1"/>
  <c r="H24" i="1"/>
  <c r="L24" i="1"/>
  <c r="J24" i="1"/>
  <c r="I24" i="1"/>
  <c r="K24" i="1"/>
  <c r="F25" i="1"/>
  <c r="G25" i="1"/>
  <c r="H25" i="1"/>
  <c r="L25" i="1"/>
  <c r="J25" i="1"/>
  <c r="I25" i="1"/>
  <c r="K25" i="1"/>
  <c r="F26" i="1"/>
  <c r="G26" i="1"/>
  <c r="H26" i="1"/>
  <c r="L26" i="1"/>
  <c r="J26" i="1"/>
  <c r="I26" i="1"/>
  <c r="K26" i="1"/>
  <c r="F27" i="1"/>
  <c r="G27" i="1"/>
  <c r="H27" i="1"/>
  <c r="L27" i="1"/>
  <c r="J27" i="1"/>
  <c r="I27" i="1"/>
  <c r="K27" i="1"/>
  <c r="F28" i="1"/>
  <c r="G28" i="1"/>
  <c r="H28" i="1"/>
  <c r="L28" i="1"/>
  <c r="J28" i="1"/>
  <c r="I28" i="1"/>
  <c r="K28" i="1"/>
  <c r="F29" i="1"/>
  <c r="G29" i="1"/>
  <c r="H29" i="1"/>
  <c r="L29" i="1"/>
  <c r="J29" i="1"/>
  <c r="I29" i="1"/>
  <c r="K29" i="1"/>
  <c r="F6" i="1"/>
  <c r="G6" i="1"/>
  <c r="H6" i="1"/>
  <c r="L6" i="1"/>
  <c r="J6" i="1"/>
  <c r="I6" i="1"/>
  <c r="K6" i="1"/>
  <c r="P22" i="1"/>
  <c r="Q22" i="1"/>
  <c r="R22" i="1"/>
  <c r="P23" i="1"/>
  <c r="Q23" i="1"/>
  <c r="R23" i="1"/>
  <c r="P24" i="1"/>
  <c r="Q24" i="1"/>
  <c r="R24" i="1"/>
  <c r="P25" i="1"/>
  <c r="Q25" i="1"/>
  <c r="R25" i="1"/>
  <c r="P26" i="1"/>
  <c r="Q26" i="1"/>
  <c r="R26" i="1"/>
  <c r="P27" i="1"/>
  <c r="Q27" i="1"/>
  <c r="R27" i="1"/>
  <c r="P28" i="1"/>
  <c r="Q28" i="1"/>
  <c r="R28" i="1"/>
  <c r="P29" i="1"/>
  <c r="Q29" i="1"/>
  <c r="R29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P20" i="1"/>
  <c r="Q20" i="1"/>
  <c r="R20" i="1"/>
  <c r="P21" i="1"/>
  <c r="Q21" i="1"/>
  <c r="R21" i="1"/>
  <c r="P6" i="1"/>
  <c r="Q6" i="1"/>
  <c r="R6" i="1"/>
  <c r="B11" i="1"/>
</calcChain>
</file>

<file path=xl/sharedStrings.xml><?xml version="1.0" encoding="utf-8"?>
<sst xmlns="http://schemas.openxmlformats.org/spreadsheetml/2006/main" count="28" uniqueCount="28">
  <si>
    <t>So</t>
  </si>
  <si>
    <t>mu</t>
  </si>
  <si>
    <t>sigma</t>
  </si>
  <si>
    <t>rf</t>
  </si>
  <si>
    <t>T</t>
  </si>
  <si>
    <t>alpha</t>
  </si>
  <si>
    <t>q(Z)</t>
  </si>
  <si>
    <t>q(S)</t>
  </si>
  <si>
    <t>AVaR</t>
  </si>
  <si>
    <t>K</t>
  </si>
  <si>
    <t>d+</t>
  </si>
  <si>
    <t>d-</t>
  </si>
  <si>
    <t>P(0)</t>
  </si>
  <si>
    <t>dma+</t>
  </si>
  <si>
    <t>dma-</t>
  </si>
  <si>
    <t>Plot of dependence on K</t>
  </si>
  <si>
    <t>x</t>
  </si>
  <si>
    <t>V</t>
  </si>
  <si>
    <t>E(P(T))</t>
  </si>
  <si>
    <t>dmu+</t>
  </si>
  <si>
    <t>dmu-</t>
  </si>
  <si>
    <t>P_mu_alpha</t>
  </si>
  <si>
    <t>So*N(qZ-sigma*sqrt(T))</t>
  </si>
  <si>
    <t>E(X)</t>
  </si>
  <si>
    <t>x(K)</t>
  </si>
  <si>
    <t>y</t>
  </si>
  <si>
    <t>AVaR(X_(x,y))</t>
  </si>
  <si>
    <t>E(X_(x,y))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</si>
</sst>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0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Sheet1!$E$6:$E$29</c:f>
              <c:numCache>
                <c:formatCode>General</c:formatCode>
                <c:ptCount val="24"/>
                <c:pt idx="0">
                  <c:v>40.0</c:v>
                </c:pt>
                <c:pt idx="1">
                  <c:v>45.0</c:v>
                </c:pt>
                <c:pt idx="2">
                  <c:v>50.0</c:v>
                </c:pt>
                <c:pt idx="3">
                  <c:v>55.0</c:v>
                </c:pt>
                <c:pt idx="4">
                  <c:v>60.0</c:v>
                </c:pt>
                <c:pt idx="5">
                  <c:v>65.0</c:v>
                </c:pt>
                <c:pt idx="6">
                  <c:v>70.0</c:v>
                </c:pt>
                <c:pt idx="7">
                  <c:v>75.0</c:v>
                </c:pt>
                <c:pt idx="8">
                  <c:v>80.0</c:v>
                </c:pt>
                <c:pt idx="9">
                  <c:v>85.0</c:v>
                </c:pt>
                <c:pt idx="10">
                  <c:v>90.0</c:v>
                </c:pt>
                <c:pt idx="11">
                  <c:v>95.0</c:v>
                </c:pt>
                <c:pt idx="12">
                  <c:v>100.0</c:v>
                </c:pt>
                <c:pt idx="13">
                  <c:v>105.0</c:v>
                </c:pt>
                <c:pt idx="14">
                  <c:v>110.0</c:v>
                </c:pt>
                <c:pt idx="15">
                  <c:v>115.0</c:v>
                </c:pt>
                <c:pt idx="16">
                  <c:v>120.0</c:v>
                </c:pt>
                <c:pt idx="17">
                  <c:v>125.0</c:v>
                </c:pt>
                <c:pt idx="18">
                  <c:v>130.0</c:v>
                </c:pt>
                <c:pt idx="19">
                  <c:v>135.0</c:v>
                </c:pt>
                <c:pt idx="20">
                  <c:v>140.0</c:v>
                </c:pt>
                <c:pt idx="21">
                  <c:v>145.0</c:v>
                </c:pt>
                <c:pt idx="22">
                  <c:v>150.0</c:v>
                </c:pt>
                <c:pt idx="23">
                  <c:v>155.0</c:v>
                </c:pt>
              </c:numCache>
            </c:numRef>
          </c:xVal>
          <c:yVal>
            <c:numRef>
              <c:f>Sheet1!$M$6:$M$29</c:f>
              <c:numCache>
                <c:formatCode>General</c:formatCode>
                <c:ptCount val="24"/>
                <c:pt idx="0">
                  <c:v>30.22391435115439</c:v>
                </c:pt>
                <c:pt idx="1">
                  <c:v>30.22451505987611</c:v>
                </c:pt>
                <c:pt idx="2">
                  <c:v>30.22873936635179</c:v>
                </c:pt>
                <c:pt idx="3">
                  <c:v>30.24570939953814</c:v>
                </c:pt>
                <c:pt idx="4">
                  <c:v>30.28289249996736</c:v>
                </c:pt>
                <c:pt idx="5">
                  <c:v>30.29461182892142</c:v>
                </c:pt>
                <c:pt idx="6">
                  <c:v>30.05937340833253</c:v>
                </c:pt>
                <c:pt idx="7">
                  <c:v>27.51091765100543</c:v>
                </c:pt>
                <c:pt idx="8">
                  <c:v>23.02605153011798</c:v>
                </c:pt>
                <c:pt idx="9">
                  <c:v>18.82650654673884</c:v>
                </c:pt>
                <c:pt idx="10">
                  <c:v>15.01345581598136</c:v>
                </c:pt>
                <c:pt idx="11">
                  <c:v>11.66950791969134</c:v>
                </c:pt>
                <c:pt idx="12">
                  <c:v>8.84236713931847</c:v>
                </c:pt>
                <c:pt idx="13">
                  <c:v>6.538018581019855</c:v>
                </c:pt>
                <c:pt idx="14">
                  <c:v>4.724459436088821</c:v>
                </c:pt>
                <c:pt idx="15">
                  <c:v>3.342763738627099</c:v>
                </c:pt>
                <c:pt idx="16">
                  <c:v>2.3205478419126</c:v>
                </c:pt>
                <c:pt idx="17">
                  <c:v>1.583753280476003</c:v>
                </c:pt>
                <c:pt idx="18">
                  <c:v>1.064709174133668</c:v>
                </c:pt>
                <c:pt idx="19">
                  <c:v>0.706294000668549</c:v>
                </c:pt>
                <c:pt idx="20">
                  <c:v>0.463060547859769</c:v>
                </c:pt>
                <c:pt idx="21">
                  <c:v>0.300467705250028</c:v>
                </c:pt>
                <c:pt idx="22">
                  <c:v>0.193199080627167</c:v>
                </c:pt>
                <c:pt idx="23">
                  <c:v>0.123235710047666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605496"/>
        <c:axId val="-2073350616"/>
      </c:scatterChart>
      <c:valAx>
        <c:axId val="-207460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3350616"/>
        <c:crosses val="autoZero"/>
        <c:crossBetween val="midCat"/>
      </c:valAx>
      <c:valAx>
        <c:axId val="-2073350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4605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Sheet1!$M$6:$M$29</c:f>
              <c:numCache>
                <c:formatCode>General</c:formatCode>
                <c:ptCount val="24"/>
                <c:pt idx="0">
                  <c:v>30.22391435115439</c:v>
                </c:pt>
                <c:pt idx="1">
                  <c:v>30.22451505987611</c:v>
                </c:pt>
                <c:pt idx="2">
                  <c:v>30.22873936635179</c:v>
                </c:pt>
                <c:pt idx="3">
                  <c:v>30.24570939953814</c:v>
                </c:pt>
                <c:pt idx="4">
                  <c:v>30.28289249996736</c:v>
                </c:pt>
                <c:pt idx="5">
                  <c:v>30.29461182892142</c:v>
                </c:pt>
                <c:pt idx="6">
                  <c:v>30.05937340833253</c:v>
                </c:pt>
                <c:pt idx="7">
                  <c:v>27.51091765100543</c:v>
                </c:pt>
                <c:pt idx="8">
                  <c:v>23.02605153011798</c:v>
                </c:pt>
                <c:pt idx="9">
                  <c:v>18.82650654673884</c:v>
                </c:pt>
                <c:pt idx="10">
                  <c:v>15.01345581598136</c:v>
                </c:pt>
                <c:pt idx="11">
                  <c:v>11.66950791969134</c:v>
                </c:pt>
                <c:pt idx="12">
                  <c:v>8.84236713931847</c:v>
                </c:pt>
                <c:pt idx="13">
                  <c:v>6.538018581019855</c:v>
                </c:pt>
                <c:pt idx="14">
                  <c:v>4.724459436088821</c:v>
                </c:pt>
                <c:pt idx="15">
                  <c:v>3.342763738627099</c:v>
                </c:pt>
                <c:pt idx="16">
                  <c:v>2.3205478419126</c:v>
                </c:pt>
                <c:pt idx="17">
                  <c:v>1.583753280476003</c:v>
                </c:pt>
                <c:pt idx="18">
                  <c:v>1.064709174133668</c:v>
                </c:pt>
                <c:pt idx="19">
                  <c:v>0.706294000668549</c:v>
                </c:pt>
                <c:pt idx="20">
                  <c:v>0.463060547859769</c:v>
                </c:pt>
                <c:pt idx="21">
                  <c:v>0.300467705250028</c:v>
                </c:pt>
                <c:pt idx="22">
                  <c:v>0.193199080627167</c:v>
                </c:pt>
                <c:pt idx="23">
                  <c:v>0.123235710047666</c:v>
                </c:pt>
              </c:numCache>
            </c:numRef>
          </c:xVal>
          <c:yVal>
            <c:numRef>
              <c:f>Sheet1!$S$6:$S$29</c:f>
              <c:numCache>
                <c:formatCode>General</c:formatCode>
                <c:ptCount val="24"/>
                <c:pt idx="0">
                  <c:v>7.250815666290251</c:v>
                </c:pt>
                <c:pt idx="1">
                  <c:v>7.250774832512135</c:v>
                </c:pt>
                <c:pt idx="2">
                  <c:v>7.250391879887204</c:v>
                </c:pt>
                <c:pt idx="3">
                  <c:v>7.248122077369985</c:v>
                </c:pt>
                <c:pt idx="4">
                  <c:v>7.238734282792577</c:v>
                </c:pt>
                <c:pt idx="5">
                  <c:v>7.209596656664686</c:v>
                </c:pt>
                <c:pt idx="6">
                  <c:v>7.137932960580187</c:v>
                </c:pt>
                <c:pt idx="7">
                  <c:v>6.992380892992628</c:v>
                </c:pt>
                <c:pt idx="8">
                  <c:v>6.740425550571842</c:v>
                </c:pt>
                <c:pt idx="9">
                  <c:v>6.359511638211657</c:v>
                </c:pt>
                <c:pt idx="10">
                  <c:v>5.846769202004168</c:v>
                </c:pt>
                <c:pt idx="11">
                  <c:v>5.222546752556809</c:v>
                </c:pt>
                <c:pt idx="12">
                  <c:v>4.526137325385577</c:v>
                </c:pt>
                <c:pt idx="13">
                  <c:v>3.805966701477373</c:v>
                </c:pt>
                <c:pt idx="14">
                  <c:v>3.108637522699311</c:v>
                </c:pt>
                <c:pt idx="15">
                  <c:v>2.47071424756517</c:v>
                </c:pt>
                <c:pt idx="16">
                  <c:v>1.914980935605655</c:v>
                </c:pt>
                <c:pt idx="17">
                  <c:v>1.450753971665463</c:v>
                </c:pt>
                <c:pt idx="18">
                  <c:v>1.076695092800037</c:v>
                </c:pt>
                <c:pt idx="19">
                  <c:v>0.784488717596915</c:v>
                </c:pt>
                <c:pt idx="20">
                  <c:v>0.562243670205135</c:v>
                </c:pt>
                <c:pt idx="21">
                  <c:v>0.397075690018852</c:v>
                </c:pt>
                <c:pt idx="22">
                  <c:v>0.276770845340764</c:v>
                </c:pt>
                <c:pt idx="23">
                  <c:v>0.190668968123248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Sheet1!$M$33:$M$43</c:f>
              <c:numCache>
                <c:formatCode>General</c:formatCode>
                <c:ptCount val="11"/>
                <c:pt idx="0">
                  <c:v>30.22386829174178</c:v>
                </c:pt>
                <c:pt idx="1">
                  <c:v>27.2014814625676</c:v>
                </c:pt>
                <c:pt idx="2">
                  <c:v>24.17909463339343</c:v>
                </c:pt>
                <c:pt idx="3">
                  <c:v>21.15670780421924</c:v>
                </c:pt>
                <c:pt idx="4">
                  <c:v>18.13432097504507</c:v>
                </c:pt>
                <c:pt idx="5">
                  <c:v>15.11193414587089</c:v>
                </c:pt>
                <c:pt idx="6">
                  <c:v>12.08954731669671</c:v>
                </c:pt>
                <c:pt idx="7">
                  <c:v>9.067160487522534</c:v>
                </c:pt>
                <c:pt idx="8">
                  <c:v>6.044773658348356</c:v>
                </c:pt>
                <c:pt idx="9">
                  <c:v>3.022386829174178</c:v>
                </c:pt>
                <c:pt idx="10">
                  <c:v>0.0</c:v>
                </c:pt>
              </c:numCache>
            </c:numRef>
          </c:xVal>
          <c:yVal>
            <c:numRef>
              <c:f>Sheet1!$N$33:$N$43</c:f>
              <c:numCache>
                <c:formatCode>General</c:formatCode>
                <c:ptCount val="11"/>
                <c:pt idx="0">
                  <c:v>7.250818125421654</c:v>
                </c:pt>
                <c:pt idx="1">
                  <c:v>6.525736312879489</c:v>
                </c:pt>
                <c:pt idx="2">
                  <c:v>5.800654500337323</c:v>
                </c:pt>
                <c:pt idx="3">
                  <c:v>5.075572687795158</c:v>
                </c:pt>
                <c:pt idx="4">
                  <c:v>4.350490875252992</c:v>
                </c:pt>
                <c:pt idx="5">
                  <c:v>3.625409062710827</c:v>
                </c:pt>
                <c:pt idx="6">
                  <c:v>2.900327250168662</c:v>
                </c:pt>
                <c:pt idx="7">
                  <c:v>2.175245437626496</c:v>
                </c:pt>
                <c:pt idx="8">
                  <c:v>1.450163625084331</c:v>
                </c:pt>
                <c:pt idx="9">
                  <c:v>0.725081812542165</c:v>
                </c:pt>
                <c:pt idx="1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419464"/>
        <c:axId val="-2074537000"/>
      </c:scatterChart>
      <c:valAx>
        <c:axId val="-207441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537000"/>
        <c:crosses val="autoZero"/>
        <c:crossBetween val="midCat"/>
      </c:valAx>
      <c:valAx>
        <c:axId val="-20745370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419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385233</xdr:colOff>
      <xdr:row>7</xdr:row>
      <xdr:rowOff>139700</xdr:rowOff>
    </xdr:from>
    <xdr:to>
      <xdr:col>10</xdr:col>
      <xdr:colOff>647700</xdr:colOff>
      <xdr:row>21</xdr:row>
      <xdr:rowOff>156633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361950</xdr:colOff>
      <xdr:row>6</xdr:row>
      <xdr:rowOff>6350</xdr:rowOff>
    </xdr:from>
    <xdr:to>
      <xdr:col>18</xdr:col>
      <xdr:colOff>393700</xdr:colOff>
      <xdr:row>23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tabSelected="1" topLeftCell="E15" workbookViewId="0">
      <selection activeCell="J31" sqref="J31"/>
    </sheetView>
  </sheetViews>
  <sheetFormatPr baseColWidth="10" defaultRowHeight="15" x14ac:dyDescent="0"/>
  <cols>
    <col min="10" max="10" width="13" bestFit="1" customWidth="1"/>
    <col min="21" max="21" width="12.1640625" bestFit="1" customWidth="1"/>
  </cols>
  <sheetData>
    <row r="1" spans="1:19">
      <c r="A1" t="s">
        <v>17</v>
      </c>
      <c r="B1">
        <v>100</v>
      </c>
    </row>
    <row r="2" spans="1:19">
      <c r="A2" t="s">
        <v>0</v>
      </c>
      <c r="B2">
        <v>100</v>
      </c>
    </row>
    <row r="3" spans="1:19">
      <c r="A3" t="s">
        <v>1</v>
      </c>
      <c r="B3">
        <v>0.1</v>
      </c>
      <c r="E3" t="s">
        <v>15</v>
      </c>
    </row>
    <row r="4" spans="1:19">
      <c r="A4" t="s">
        <v>2</v>
      </c>
      <c r="B4">
        <v>0.2</v>
      </c>
      <c r="E4" t="s">
        <v>9</v>
      </c>
      <c r="F4" t="s">
        <v>10</v>
      </c>
      <c r="G4" t="s">
        <v>11</v>
      </c>
      <c r="H4" t="s">
        <v>12</v>
      </c>
      <c r="I4" t="s">
        <v>13</v>
      </c>
      <c r="J4" t="s">
        <v>14</v>
      </c>
      <c r="K4" t="s">
        <v>21</v>
      </c>
      <c r="L4" t="s">
        <v>24</v>
      </c>
      <c r="M4" t="s">
        <v>8</v>
      </c>
    </row>
    <row r="5" spans="1:19">
      <c r="A5" t="s">
        <v>3</v>
      </c>
      <c r="B5">
        <v>0.03</v>
      </c>
      <c r="P5" t="s">
        <v>19</v>
      </c>
      <c r="Q5" t="s">
        <v>20</v>
      </c>
      <c r="R5" t="s">
        <v>18</v>
      </c>
      <c r="S5" t="s">
        <v>23</v>
      </c>
    </row>
    <row r="6" spans="1:19">
      <c r="A6" t="s">
        <v>4</v>
      </c>
      <c r="B6">
        <v>1</v>
      </c>
      <c r="E6">
        <v>40</v>
      </c>
      <c r="F6">
        <f t="shared" ref="F6:F7" si="0">(LN(So/E6)+(rf+sigma*sigma*0.5)*T)/(sigma*SQRT(T))</f>
        <v>4.8314536593707755</v>
      </c>
      <c r="G6">
        <f t="shared" ref="G6:G7" si="1">F6-sigma*SQRT(T)</f>
        <v>4.6314536593707754</v>
      </c>
      <c r="H6" s="2">
        <f t="shared" ref="H6:H7" si="2">E6*EXP(-rf*T)*NORMSDIST(-G6)-So*NORMSDIST(-F6)</f>
        <v>2.705282431032048E-6</v>
      </c>
      <c r="I6">
        <f t="shared" ref="I6:I7" si="3">J6+sigma*SQRT(T)</f>
        <v>4.8314536593707755</v>
      </c>
      <c r="J6">
        <f>MAX(G6,-$B$10)</f>
        <v>4.6314536593707754</v>
      </c>
      <c r="K6">
        <f t="shared" ref="K6:K29" si="4">E6*EXP(-mu*T)*NORMSDIST(-J6)-So*NORMSDIST(-I6)</f>
        <v>-2.0592743809877265E-6</v>
      </c>
      <c r="L6">
        <f t="shared" ref="L6:L29" si="5">V/(So+H6)</f>
        <v>0.99999997294717646</v>
      </c>
      <c r="M6">
        <f t="shared" ref="M6:M29" si="6">V-EXP((mu-rf)*T)*(L6*SoN+L6*K6)/alpha</f>
        <v>30.223914351154392</v>
      </c>
      <c r="P6">
        <f t="shared" ref="P6:P29" si="7">(LN(So/E6)+(mu+sigma*sigma*0.5)*T)/(sigma*SQRT(T))</f>
        <v>5.1814536593707761</v>
      </c>
      <c r="Q6">
        <f t="shared" ref="Q6:Q29" si="8">P6-sigma*SQRT(T)</f>
        <v>4.9814536593707759</v>
      </c>
      <c r="R6">
        <f t="shared" ref="R6:R29" si="9">EXP(mu*T)*(E6*EXP(-mu*T)*NORMSDIST(-Q6)-So*NORMSDIST(-P6))</f>
        <v>4.557762961438941E-7</v>
      </c>
      <c r="S6">
        <f t="shared" ref="S6:S29" si="10">L6*So*EXP((mu-rf)*T)+L6*R6*EXP(-rf*T)-V</f>
        <v>7.2508156662902508</v>
      </c>
    </row>
    <row r="7" spans="1:19">
      <c r="A7" t="s">
        <v>5</v>
      </c>
      <c r="B7">
        <v>0.05</v>
      </c>
      <c r="E7">
        <f>E6+5</f>
        <v>45</v>
      </c>
      <c r="F7">
        <f t="shared" si="0"/>
        <v>4.2425384810888582</v>
      </c>
      <c r="G7">
        <f t="shared" si="1"/>
        <v>4.042538481088858</v>
      </c>
      <c r="H7" s="2">
        <f t="shared" si="2"/>
        <v>4.9512556274534502E-5</v>
      </c>
      <c r="I7">
        <f t="shared" si="3"/>
        <v>4.2425384810888582</v>
      </c>
      <c r="J7">
        <f>MAX(G7,-$B$10)</f>
        <v>4.042538481088858</v>
      </c>
      <c r="K7">
        <f t="shared" si="4"/>
        <v>-2.854153090781574E-5</v>
      </c>
      <c r="L7">
        <f t="shared" si="5"/>
        <v>0.99999950487468237</v>
      </c>
      <c r="M7">
        <f t="shared" si="6"/>
        <v>30.224515059876111</v>
      </c>
      <c r="P7">
        <f t="shared" si="7"/>
        <v>4.5925384810888579</v>
      </c>
      <c r="Q7">
        <f t="shared" si="8"/>
        <v>4.3925384810888577</v>
      </c>
      <c r="R7">
        <f t="shared" si="9"/>
        <v>1.010844028084215E-5</v>
      </c>
      <c r="S7">
        <f t="shared" si="10"/>
        <v>7.2507748325121355</v>
      </c>
    </row>
    <row r="8" spans="1:19">
      <c r="E8">
        <f t="shared" ref="E8:E29" si="11">E7+5</f>
        <v>50</v>
      </c>
      <c r="F8">
        <f t="shared" ref="F8:F26" si="12">(LN(So/E8)+(rf+sigma*sigma*0.5)*T)/(sigma*SQRT(T))</f>
        <v>3.7157359027997265</v>
      </c>
      <c r="G8">
        <f t="shared" ref="G8:G26" si="13">F8-sigma*SQRT(T)</f>
        <v>3.5157359027997264</v>
      </c>
      <c r="H8" s="2">
        <f t="shared" ref="H8:H26" si="14">E8*EXP(-rf*T)*NORMSDIST(-G8)-So*NORMSDIST(-F8)</f>
        <v>5.0874979600033787E-4</v>
      </c>
      <c r="I8">
        <f t="shared" ref="I8:I26" si="15">J8+sigma*SQRT(T)</f>
        <v>3.7157359027997265</v>
      </c>
      <c r="J8">
        <f t="shared" ref="J8:J26" si="16">MAX(G8,-$B$10)</f>
        <v>3.5157359027997264</v>
      </c>
      <c r="K8">
        <f t="shared" si="4"/>
        <v>-2.10539814185692E-4</v>
      </c>
      <c r="L8">
        <f t="shared" si="5"/>
        <v>0.9999949125279225</v>
      </c>
      <c r="M8">
        <f t="shared" si="6"/>
        <v>30.228739366351789</v>
      </c>
      <c r="P8">
        <f t="shared" si="7"/>
        <v>4.0657359027997257</v>
      </c>
      <c r="Q8">
        <f t="shared" si="8"/>
        <v>3.8657359027997256</v>
      </c>
      <c r="R8">
        <f t="shared" si="9"/>
        <v>1.2302660100689411E-4</v>
      </c>
      <c r="S8">
        <f t="shared" si="10"/>
        <v>7.2503918798872036</v>
      </c>
    </row>
    <row r="9" spans="1:19">
      <c r="E9">
        <f t="shared" si="11"/>
        <v>55</v>
      </c>
      <c r="F9">
        <f t="shared" si="12"/>
        <v>3.2391850037781023</v>
      </c>
      <c r="G9">
        <f t="shared" si="13"/>
        <v>3.0391850037781021</v>
      </c>
      <c r="H9" s="2">
        <f t="shared" si="14"/>
        <v>3.3713712490934869E-3</v>
      </c>
      <c r="I9">
        <f t="shared" si="15"/>
        <v>3.2391850037781023</v>
      </c>
      <c r="J9">
        <f t="shared" si="16"/>
        <v>3.0391850037781021</v>
      </c>
      <c r="K9">
        <f t="shared" si="4"/>
        <v>-9.0859128343694778E-4</v>
      </c>
      <c r="L9">
        <f t="shared" si="5"/>
        <v>0.99996628742408522</v>
      </c>
      <c r="M9">
        <f t="shared" si="6"/>
        <v>30.245709399538143</v>
      </c>
      <c r="P9">
        <f t="shared" si="7"/>
        <v>3.5891850037781019</v>
      </c>
      <c r="Q9">
        <f t="shared" si="8"/>
        <v>3.3891850037781017</v>
      </c>
      <c r="R9">
        <f t="shared" si="9"/>
        <v>9.4769285801218678E-4</v>
      </c>
      <c r="S9">
        <f t="shared" si="10"/>
        <v>7.2481220773699846</v>
      </c>
    </row>
    <row r="10" spans="1:19">
      <c r="A10" t="s">
        <v>6</v>
      </c>
      <c r="B10">
        <f>NORMSINV(alpha)</f>
        <v>-1.6448536269514726</v>
      </c>
      <c r="E10">
        <f t="shared" si="11"/>
        <v>60</v>
      </c>
      <c r="F10">
        <f t="shared" si="12"/>
        <v>2.8041281188299538</v>
      </c>
      <c r="G10">
        <f t="shared" si="13"/>
        <v>2.6041281188299537</v>
      </c>
      <c r="H10" s="2">
        <f t="shared" si="14"/>
        <v>1.5894056222872432E-2</v>
      </c>
      <c r="I10">
        <f t="shared" si="15"/>
        <v>2.8041281188299538</v>
      </c>
      <c r="J10">
        <f t="shared" si="16"/>
        <v>2.6041281188299537</v>
      </c>
      <c r="K10">
        <f t="shared" si="4"/>
        <v>-2.2351033213795501E-3</v>
      </c>
      <c r="L10">
        <f t="shared" si="5"/>
        <v>0.99984108469585897</v>
      </c>
      <c r="M10">
        <f t="shared" si="6"/>
        <v>30.28289249996736</v>
      </c>
      <c r="P10">
        <f t="shared" si="7"/>
        <v>3.1541281188299535</v>
      </c>
      <c r="Q10">
        <f t="shared" si="8"/>
        <v>2.9541281188299533</v>
      </c>
      <c r="R10">
        <f t="shared" si="9"/>
        <v>5.1118191789783591E-3</v>
      </c>
      <c r="S10">
        <f t="shared" si="10"/>
        <v>7.2387342827925778</v>
      </c>
    </row>
    <row r="11" spans="1:19">
      <c r="A11" t="s">
        <v>7</v>
      </c>
      <c r="B11">
        <f>So*EXP((mu-sigma*sigma*0.5)*T+sigma*SQRT(T)*B10)</f>
        <v>77.960279561820983</v>
      </c>
      <c r="E11">
        <f t="shared" si="11"/>
        <v>65</v>
      </c>
      <c r="F11">
        <f t="shared" si="12"/>
        <v>2.4039145804622715</v>
      </c>
      <c r="G11">
        <f t="shared" si="13"/>
        <v>2.2039145804622713</v>
      </c>
      <c r="H11" s="2">
        <f t="shared" si="14"/>
        <v>5.7264832771390717E-2</v>
      </c>
      <c r="I11">
        <f t="shared" si="15"/>
        <v>2.4039145804622715</v>
      </c>
      <c r="J11">
        <f t="shared" si="16"/>
        <v>2.2039145804622713</v>
      </c>
      <c r="K11">
        <f t="shared" si="4"/>
        <v>-1.437138837242169E-3</v>
      </c>
      <c r="L11">
        <f t="shared" si="5"/>
        <v>0.99942767941071442</v>
      </c>
      <c r="M11">
        <f t="shared" si="6"/>
        <v>30.294611828921418</v>
      </c>
      <c r="P11">
        <f t="shared" si="7"/>
        <v>2.7539145804622716</v>
      </c>
      <c r="Q11">
        <f t="shared" si="8"/>
        <v>2.5539145804622714</v>
      </c>
      <c r="R11">
        <f t="shared" si="9"/>
        <v>2.0786254133809672E-2</v>
      </c>
      <c r="S11">
        <f t="shared" si="10"/>
        <v>7.2095966566646865</v>
      </c>
    </row>
    <row r="12" spans="1:19">
      <c r="E12">
        <f t="shared" si="11"/>
        <v>70</v>
      </c>
      <c r="F12">
        <f t="shared" si="12"/>
        <v>2.0333747196936618</v>
      </c>
      <c r="G12">
        <f t="shared" si="13"/>
        <v>1.8333747196936618</v>
      </c>
      <c r="H12" s="2">
        <f t="shared" si="14"/>
        <v>0.16636290665971076</v>
      </c>
      <c r="I12">
        <f t="shared" si="15"/>
        <v>2.0333747196936618</v>
      </c>
      <c r="J12">
        <f t="shared" si="16"/>
        <v>1.8333747196936618</v>
      </c>
      <c r="K12">
        <f t="shared" si="4"/>
        <v>1.3093146870671646E-2</v>
      </c>
      <c r="L12">
        <f t="shared" si="5"/>
        <v>0.99833913399835894</v>
      </c>
      <c r="M12">
        <f t="shared" si="6"/>
        <v>30.059373408332533</v>
      </c>
      <c r="P12">
        <f t="shared" si="7"/>
        <v>2.3833747196936619</v>
      </c>
      <c r="Q12">
        <f t="shared" si="8"/>
        <v>2.1833747196936617</v>
      </c>
      <c r="R12">
        <f t="shared" si="9"/>
        <v>6.7342897986157974E-2</v>
      </c>
      <c r="S12">
        <f t="shared" si="10"/>
        <v>7.1379329605801871</v>
      </c>
    </row>
    <row r="13" spans="1:19">
      <c r="A13" t="s">
        <v>22</v>
      </c>
      <c r="C13">
        <f>So*NORMSDIST(qZ-sigma*SQRT(T))</f>
        <v>3.2529416990861719</v>
      </c>
      <c r="E13">
        <f t="shared" si="11"/>
        <v>75</v>
      </c>
      <c r="F13">
        <f t="shared" si="12"/>
        <v>1.6884103622589042</v>
      </c>
      <c r="G13">
        <f t="shared" si="13"/>
        <v>1.4884103622589042</v>
      </c>
      <c r="H13" s="2">
        <f t="shared" si="14"/>
        <v>0.40603723706488548</v>
      </c>
      <c r="I13">
        <f t="shared" si="15"/>
        <v>1.8448536269514726</v>
      </c>
      <c r="J13">
        <f t="shared" si="16"/>
        <v>1.6448536269514726</v>
      </c>
      <c r="K13">
        <f t="shared" si="4"/>
        <v>0.14019861854867699</v>
      </c>
      <c r="L13">
        <f t="shared" si="5"/>
        <v>0.99595604758201739</v>
      </c>
      <c r="M13">
        <f t="shared" si="6"/>
        <v>27.510917651005428</v>
      </c>
      <c r="P13">
        <f t="shared" si="7"/>
        <v>2.038410362258904</v>
      </c>
      <c r="Q13">
        <f t="shared" si="8"/>
        <v>1.8384103622589041</v>
      </c>
      <c r="R13">
        <f t="shared" si="9"/>
        <v>0.18135141925511231</v>
      </c>
      <c r="S13">
        <f t="shared" si="10"/>
        <v>6.9923808929926281</v>
      </c>
    </row>
    <row r="14" spans="1:19">
      <c r="E14">
        <f t="shared" si="11"/>
        <v>80</v>
      </c>
      <c r="F14">
        <f t="shared" si="12"/>
        <v>1.3657177565710488</v>
      </c>
      <c r="G14">
        <f t="shared" si="13"/>
        <v>1.1657177565710488</v>
      </c>
      <c r="H14" s="2">
        <f t="shared" si="14"/>
        <v>0.85963397636740169</v>
      </c>
      <c r="I14">
        <f t="shared" si="15"/>
        <v>1.8448536269514726</v>
      </c>
      <c r="J14">
        <f t="shared" si="16"/>
        <v>1.6448536269514726</v>
      </c>
      <c r="K14">
        <f t="shared" si="4"/>
        <v>0.36640797305766659</v>
      </c>
      <c r="L14">
        <f t="shared" si="5"/>
        <v>0.99147692746367866</v>
      </c>
      <c r="M14">
        <f t="shared" si="6"/>
        <v>23.026051530117982</v>
      </c>
      <c r="P14">
        <f t="shared" si="7"/>
        <v>1.7157177565710486</v>
      </c>
      <c r="Q14">
        <f t="shared" si="8"/>
        <v>1.5157177565710487</v>
      </c>
      <c r="R14">
        <f t="shared" si="9"/>
        <v>0.41958500052358727</v>
      </c>
      <c r="S14">
        <f t="shared" si="10"/>
        <v>6.7404255505718425</v>
      </c>
    </row>
    <row r="15" spans="1:19">
      <c r="E15">
        <f t="shared" si="11"/>
        <v>85</v>
      </c>
      <c r="F15">
        <f t="shared" si="12"/>
        <v>1.0625946474888748</v>
      </c>
      <c r="G15">
        <f t="shared" si="13"/>
        <v>0.86259464748887482</v>
      </c>
      <c r="H15" s="2">
        <f t="shared" si="14"/>
        <v>1.6192193318855459</v>
      </c>
      <c r="I15">
        <f t="shared" si="15"/>
        <v>1.8448536269514726</v>
      </c>
      <c r="J15">
        <f t="shared" si="16"/>
        <v>1.6448536269514726</v>
      </c>
      <c r="K15">
        <f t="shared" si="4"/>
        <v>0.59261732756665708</v>
      </c>
      <c r="L15">
        <f t="shared" si="5"/>
        <v>0.98406581606775367</v>
      </c>
      <c r="M15">
        <f t="shared" si="6"/>
        <v>18.826506546738841</v>
      </c>
      <c r="P15">
        <f t="shared" si="7"/>
        <v>1.4125946474888746</v>
      </c>
      <c r="Q15">
        <f t="shared" si="8"/>
        <v>1.2125946474888747</v>
      </c>
      <c r="R15">
        <f t="shared" si="9"/>
        <v>0.85619157161432191</v>
      </c>
      <c r="S15">
        <f t="shared" si="10"/>
        <v>6.3595116382116572</v>
      </c>
    </row>
    <row r="16" spans="1:19">
      <c r="E16">
        <f t="shared" si="11"/>
        <v>90</v>
      </c>
      <c r="F16">
        <f t="shared" si="12"/>
        <v>0.77680257828913168</v>
      </c>
      <c r="G16">
        <f t="shared" si="13"/>
        <v>0.57680257828913173</v>
      </c>
      <c r="H16" s="2">
        <f t="shared" si="14"/>
        <v>2.7693252595976148</v>
      </c>
      <c r="I16">
        <f t="shared" si="15"/>
        <v>1.8448536269514726</v>
      </c>
      <c r="J16">
        <f t="shared" si="16"/>
        <v>1.6448536269514726</v>
      </c>
      <c r="K16">
        <f t="shared" si="4"/>
        <v>0.81882668207564713</v>
      </c>
      <c r="L16">
        <f t="shared" si="5"/>
        <v>0.97305299754958741</v>
      </c>
      <c r="M16">
        <f t="shared" si="6"/>
        <v>15.013455815981359</v>
      </c>
      <c r="P16">
        <f t="shared" si="7"/>
        <v>1.1268025782891318</v>
      </c>
      <c r="Q16">
        <f t="shared" si="8"/>
        <v>0.92680257828913182</v>
      </c>
      <c r="R16">
        <f t="shared" si="9"/>
        <v>1.573702325134436</v>
      </c>
      <c r="S16">
        <f t="shared" si="10"/>
        <v>5.8467692020041682</v>
      </c>
    </row>
    <row r="17" spans="5:19">
      <c r="E17">
        <f t="shared" si="11"/>
        <v>95</v>
      </c>
      <c r="F17">
        <f t="shared" si="12"/>
        <v>0.5064664719377524</v>
      </c>
      <c r="G17">
        <f t="shared" si="13"/>
        <v>0.30646647193775239</v>
      </c>
      <c r="H17" s="2">
        <f t="shared" si="14"/>
        <v>4.3720277288713874</v>
      </c>
      <c r="I17">
        <f t="shared" si="15"/>
        <v>1.8448536269514726</v>
      </c>
      <c r="J17">
        <f t="shared" si="16"/>
        <v>1.6448536269514726</v>
      </c>
      <c r="K17">
        <f t="shared" si="4"/>
        <v>1.0450360365846363</v>
      </c>
      <c r="L17">
        <f t="shared" si="5"/>
        <v>0.95811111632104473</v>
      </c>
      <c r="M17">
        <f t="shared" si="6"/>
        <v>11.669507919691341</v>
      </c>
      <c r="P17">
        <f t="shared" si="7"/>
        <v>0.85646647193775238</v>
      </c>
      <c r="Q17">
        <f t="shared" si="8"/>
        <v>0.65646647193775243</v>
      </c>
      <c r="R17">
        <f t="shared" si="9"/>
        <v>2.6504192757491114</v>
      </c>
      <c r="S17">
        <f t="shared" si="10"/>
        <v>5.2225467525568092</v>
      </c>
    </row>
    <row r="18" spans="5:19">
      <c r="E18">
        <f t="shared" si="11"/>
        <v>100</v>
      </c>
      <c r="F18">
        <f t="shared" si="12"/>
        <v>0.25</v>
      </c>
      <c r="G18">
        <f t="shared" si="13"/>
        <v>4.9999999999999989E-2</v>
      </c>
      <c r="H18" s="2">
        <f t="shared" si="14"/>
        <v>6.4579567387038352</v>
      </c>
      <c r="I18">
        <f t="shared" si="15"/>
        <v>1.8448536269514726</v>
      </c>
      <c r="J18">
        <f t="shared" si="16"/>
        <v>1.6448536269514726</v>
      </c>
      <c r="K18">
        <f t="shared" si="4"/>
        <v>1.2712453910936263</v>
      </c>
      <c r="L18">
        <f t="shared" si="5"/>
        <v>0.9393379608575938</v>
      </c>
      <c r="M18">
        <f t="shared" si="6"/>
        <v>8.8423671393184691</v>
      </c>
      <c r="P18">
        <f t="shared" si="7"/>
        <v>0.6</v>
      </c>
      <c r="Q18">
        <f t="shared" si="8"/>
        <v>0.39999999999999997</v>
      </c>
      <c r="R18">
        <f t="shared" si="9"/>
        <v>4.1481688460718296</v>
      </c>
      <c r="S18">
        <f t="shared" si="10"/>
        <v>4.5261373253855766</v>
      </c>
    </row>
    <row r="19" spans="5:19">
      <c r="E19">
        <f t="shared" si="11"/>
        <v>105</v>
      </c>
      <c r="F19">
        <f t="shared" si="12"/>
        <v>6.0491791528397357E-3</v>
      </c>
      <c r="G19">
        <f t="shared" si="13"/>
        <v>-0.19395082084716028</v>
      </c>
      <c r="H19" s="2">
        <f t="shared" si="14"/>
        <v>9.0248456918551057</v>
      </c>
      <c r="I19">
        <f t="shared" si="15"/>
        <v>1.8448536269514726</v>
      </c>
      <c r="J19">
        <f t="shared" si="16"/>
        <v>1.6448536269514726</v>
      </c>
      <c r="K19">
        <f t="shared" si="4"/>
        <v>1.4974547456026164</v>
      </c>
      <c r="L19">
        <f t="shared" si="5"/>
        <v>0.91722211909968954</v>
      </c>
      <c r="M19">
        <f t="shared" si="6"/>
        <v>6.5380185810198554</v>
      </c>
      <c r="P19">
        <f t="shared" si="7"/>
        <v>0.35604917915283973</v>
      </c>
      <c r="Q19">
        <f t="shared" si="8"/>
        <v>0.15604917915283972</v>
      </c>
      <c r="R19">
        <f t="shared" si="9"/>
        <v>6.1038736178659256</v>
      </c>
      <c r="S19">
        <f t="shared" si="10"/>
        <v>3.8059667014773737</v>
      </c>
    </row>
    <row r="20" spans="5:19">
      <c r="E20">
        <f t="shared" si="11"/>
        <v>110</v>
      </c>
      <c r="F20">
        <f t="shared" si="12"/>
        <v>-0.22655089902162445</v>
      </c>
      <c r="G20">
        <f t="shared" si="13"/>
        <v>-0.42655089902162446</v>
      </c>
      <c r="H20" s="2">
        <f t="shared" si="14"/>
        <v>12.042406748380813</v>
      </c>
      <c r="I20">
        <f t="shared" si="15"/>
        <v>1.8448536269514726</v>
      </c>
      <c r="J20">
        <f t="shared" si="16"/>
        <v>1.6448536269514726</v>
      </c>
      <c r="K20">
        <f t="shared" si="4"/>
        <v>1.7236641001116064</v>
      </c>
      <c r="L20">
        <f t="shared" si="5"/>
        <v>0.89251920680867702</v>
      </c>
      <c r="M20">
        <f t="shared" si="6"/>
        <v>4.7244594360888215</v>
      </c>
      <c r="P20">
        <f t="shared" si="7"/>
        <v>0.12344910097837558</v>
      </c>
      <c r="Q20">
        <f t="shared" si="8"/>
        <v>-7.655089902162443E-2</v>
      </c>
      <c r="R20">
        <f t="shared" si="9"/>
        <v>8.5265794260684267</v>
      </c>
      <c r="S20">
        <f t="shared" si="10"/>
        <v>3.1086375226993113</v>
      </c>
    </row>
    <row r="21" spans="5:19">
      <c r="E21">
        <f t="shared" si="11"/>
        <v>115</v>
      </c>
      <c r="F21">
        <f t="shared" si="12"/>
        <v>-0.44880971187579366</v>
      </c>
      <c r="G21">
        <f t="shared" si="13"/>
        <v>-0.64880971187579362</v>
      </c>
      <c r="H21" s="2">
        <f t="shared" si="14"/>
        <v>15.460818739214872</v>
      </c>
      <c r="I21">
        <f t="shared" si="15"/>
        <v>1.8448536269514726</v>
      </c>
      <c r="J21">
        <f t="shared" si="16"/>
        <v>1.6448536269514726</v>
      </c>
      <c r="K21">
        <f t="shared" si="4"/>
        <v>1.9498734546205965</v>
      </c>
      <c r="L21">
        <f t="shared" si="5"/>
        <v>0.86609467256476513</v>
      </c>
      <c r="M21">
        <f t="shared" si="6"/>
        <v>3.3427637386270987</v>
      </c>
      <c r="P21">
        <f t="shared" si="7"/>
        <v>-9.880971187579364E-2</v>
      </c>
      <c r="Q21">
        <f t="shared" si="8"/>
        <v>-0.29880971187579364</v>
      </c>
      <c r="R21">
        <f t="shared" si="9"/>
        <v>11.399617114302904</v>
      </c>
      <c r="S21">
        <f t="shared" si="10"/>
        <v>2.4707142475651693</v>
      </c>
    </row>
    <row r="22" spans="5:19">
      <c r="E22">
        <f t="shared" si="11"/>
        <v>120</v>
      </c>
      <c r="F22">
        <f t="shared" si="12"/>
        <v>-0.66160778396977282</v>
      </c>
      <c r="G22">
        <f t="shared" si="13"/>
        <v>-0.86160778396977289</v>
      </c>
      <c r="H22" s="2">
        <f t="shared" si="14"/>
        <v>19.220021665712409</v>
      </c>
      <c r="I22">
        <f t="shared" si="15"/>
        <v>1.8448536269514726</v>
      </c>
      <c r="J22">
        <f t="shared" si="16"/>
        <v>1.6448536269514726</v>
      </c>
      <c r="K22">
        <f t="shared" si="4"/>
        <v>2.1760828091295856</v>
      </c>
      <c r="L22">
        <f t="shared" si="5"/>
        <v>0.83878528625330662</v>
      </c>
      <c r="M22">
        <f t="shared" si="6"/>
        <v>2.3205478419125996</v>
      </c>
      <c r="P22">
        <f t="shared" si="7"/>
        <v>-0.3116077839697729</v>
      </c>
      <c r="Q22">
        <f t="shared" si="8"/>
        <v>-0.51160778396977291</v>
      </c>
      <c r="R22">
        <f t="shared" si="9"/>
        <v>14.686289682327324</v>
      </c>
      <c r="S22">
        <f t="shared" si="10"/>
        <v>1.9149809356056551</v>
      </c>
    </row>
    <row r="23" spans="5:19">
      <c r="E23">
        <f t="shared" si="11"/>
        <v>125</v>
      </c>
      <c r="F23">
        <f t="shared" si="12"/>
        <v>-0.86571775657104855</v>
      </c>
      <c r="G23">
        <f t="shared" si="13"/>
        <v>-1.0657177565710485</v>
      </c>
      <c r="H23" s="2">
        <f t="shared" si="14"/>
        <v>23.257791001999976</v>
      </c>
      <c r="I23">
        <f t="shared" si="15"/>
        <v>1.8448536269514726</v>
      </c>
      <c r="J23">
        <f t="shared" si="16"/>
        <v>1.6448536269514726</v>
      </c>
      <c r="K23">
        <f t="shared" si="4"/>
        <v>2.4022921636385766</v>
      </c>
      <c r="L23">
        <f t="shared" si="5"/>
        <v>0.81130774117457127</v>
      </c>
      <c r="M23">
        <f t="shared" si="6"/>
        <v>1.5837532804760031</v>
      </c>
      <c r="P23">
        <f t="shared" si="7"/>
        <v>-0.51571775657104846</v>
      </c>
      <c r="Q23">
        <f t="shared" si="8"/>
        <v>-0.71571775657104841</v>
      </c>
      <c r="R23">
        <f t="shared" si="9"/>
        <v>18.337082875591868</v>
      </c>
      <c r="S23">
        <f t="shared" si="10"/>
        <v>1.4507539716654634</v>
      </c>
    </row>
    <row r="24" spans="5:19">
      <c r="E24">
        <f t="shared" si="11"/>
        <v>130</v>
      </c>
      <c r="F24">
        <f t="shared" si="12"/>
        <v>-1.0618213223374551</v>
      </c>
      <c r="G24">
        <f t="shared" si="13"/>
        <v>-1.261821322337455</v>
      </c>
      <c r="H24" s="2">
        <f t="shared" si="14"/>
        <v>27.51558954160619</v>
      </c>
      <c r="I24">
        <f t="shared" si="15"/>
        <v>1.8448536269514726</v>
      </c>
      <c r="J24">
        <f t="shared" si="16"/>
        <v>1.6448536269514726</v>
      </c>
      <c r="K24">
        <f t="shared" si="4"/>
        <v>2.6285015181475657</v>
      </c>
      <c r="L24">
        <f t="shared" si="5"/>
        <v>0.78421783845787485</v>
      </c>
      <c r="M24">
        <f t="shared" si="6"/>
        <v>1.0647091741336681</v>
      </c>
      <c r="P24">
        <f t="shared" si="7"/>
        <v>-0.71182132233745499</v>
      </c>
      <c r="Q24">
        <f t="shared" si="8"/>
        <v>-0.91182132233745494</v>
      </c>
      <c r="R24">
        <f t="shared" si="9"/>
        <v>22.296692357595848</v>
      </c>
      <c r="S24">
        <f t="shared" si="10"/>
        <v>1.0766950928000369</v>
      </c>
    </row>
    <row r="25" spans="5:19">
      <c r="E25">
        <f t="shared" si="11"/>
        <v>135</v>
      </c>
      <c r="F25">
        <f t="shared" si="12"/>
        <v>-1.2505229622516907</v>
      </c>
      <c r="G25">
        <f t="shared" si="13"/>
        <v>-1.4505229622516906</v>
      </c>
      <c r="H25" s="2">
        <f t="shared" si="14"/>
        <v>31.942045782771672</v>
      </c>
      <c r="I25">
        <f t="shared" si="15"/>
        <v>1.8448536269514726</v>
      </c>
      <c r="J25">
        <f t="shared" si="16"/>
        <v>1.6448536269514726</v>
      </c>
      <c r="K25">
        <f t="shared" si="4"/>
        <v>2.8547108726565558</v>
      </c>
      <c r="L25">
        <f t="shared" si="5"/>
        <v>0.75790851511154522</v>
      </c>
      <c r="M25">
        <f t="shared" si="6"/>
        <v>0.70629400066854942</v>
      </c>
      <c r="P25">
        <f t="shared" si="7"/>
        <v>-0.90052296225169082</v>
      </c>
      <c r="Q25">
        <f t="shared" si="8"/>
        <v>-1.1005229622516908</v>
      </c>
      <c r="R25">
        <f t="shared" si="9"/>
        <v>26.509780539884854</v>
      </c>
      <c r="S25">
        <f t="shared" si="10"/>
        <v>0.78448871759691485</v>
      </c>
    </row>
    <row r="26" spans="5:19">
      <c r="E26">
        <f t="shared" si="11"/>
        <v>140</v>
      </c>
      <c r="F26">
        <f t="shared" si="12"/>
        <v>-1.4323611831060645</v>
      </c>
      <c r="G26">
        <f t="shared" si="13"/>
        <v>-1.6323611831060645</v>
      </c>
      <c r="H26" s="2">
        <f t="shared" si="14"/>
        <v>36.494426536107284</v>
      </c>
      <c r="I26">
        <f t="shared" si="15"/>
        <v>1.8448536269514726</v>
      </c>
      <c r="J26">
        <f t="shared" si="16"/>
        <v>1.6448536269514726</v>
      </c>
      <c r="K26">
        <f t="shared" si="4"/>
        <v>3.0809202271655458</v>
      </c>
      <c r="L26">
        <f t="shared" si="5"/>
        <v>0.73263064681653278</v>
      </c>
      <c r="M26">
        <f t="shared" si="6"/>
        <v>0.46306054785976869</v>
      </c>
      <c r="P26">
        <f t="shared" si="7"/>
        <v>-1.0823611831060644</v>
      </c>
      <c r="Q26">
        <f t="shared" si="8"/>
        <v>-1.2823611831060644</v>
      </c>
      <c r="R26">
        <f t="shared" si="9"/>
        <v>30.925011911106484</v>
      </c>
      <c r="S26">
        <f t="shared" si="10"/>
        <v>0.56224367020513455</v>
      </c>
    </row>
    <row r="27" spans="5:19">
      <c r="E27">
        <f t="shared" si="11"/>
        <v>145</v>
      </c>
      <c r="F27">
        <f t="shared" ref="F27:F29" si="17">(LN(So/E27)+(rf+sigma*sigma*0.5)*T)/(sigma*SQRT(T))</f>
        <v>-1.6078177821624147</v>
      </c>
      <c r="G27">
        <f t="shared" ref="G27:G29" si="18">F27-sigma*SQRT(T)</f>
        <v>-1.8078177821624146</v>
      </c>
      <c r="H27" s="2">
        <f t="shared" ref="H27:H29" si="19">E27*EXP(-rf*T)*NORMSDIST(-G27)-So*NORMSDIST(-F27)</f>
        <v>41.138678513082183</v>
      </c>
      <c r="I27">
        <f t="shared" ref="I27:I29" si="20">J27+sigma*SQRT(T)</f>
        <v>1.8448536269514726</v>
      </c>
      <c r="J27">
        <f t="shared" ref="J27:J29" si="21">MAX(G27,-$B$10)</f>
        <v>1.6448536269514726</v>
      </c>
      <c r="K27">
        <f t="shared" si="4"/>
        <v>3.3071295816745359</v>
      </c>
      <c r="L27">
        <f t="shared" si="5"/>
        <v>0.70852300059427697</v>
      </c>
      <c r="M27">
        <f t="shared" si="6"/>
        <v>0.30046770525002842</v>
      </c>
      <c r="P27">
        <f t="shared" si="7"/>
        <v>-1.2578177821624148</v>
      </c>
      <c r="Q27">
        <f t="shared" si="8"/>
        <v>-1.4578177821624148</v>
      </c>
      <c r="R27">
        <f t="shared" si="9"/>
        <v>35.497394318759007</v>
      </c>
      <c r="S27">
        <f t="shared" si="10"/>
        <v>0.3970756900188519</v>
      </c>
    </row>
    <row r="28" spans="5:19">
      <c r="E28">
        <f t="shared" si="11"/>
        <v>150</v>
      </c>
      <c r="F28">
        <f t="shared" si="17"/>
        <v>-1.7773255405408221</v>
      </c>
      <c r="G28">
        <f t="shared" si="18"/>
        <v>-1.9773255405408221</v>
      </c>
      <c r="H28" s="2">
        <f t="shared" si="19"/>
        <v>45.848608202430881</v>
      </c>
      <c r="I28">
        <f t="shared" si="20"/>
        <v>1.8448536269514726</v>
      </c>
      <c r="J28">
        <f t="shared" si="21"/>
        <v>1.6448536269514726</v>
      </c>
      <c r="K28">
        <f t="shared" si="4"/>
        <v>3.5333389361835259</v>
      </c>
      <c r="L28">
        <f t="shared" si="5"/>
        <v>0.68564247017842495</v>
      </c>
      <c r="M28">
        <f t="shared" si="6"/>
        <v>0.19319908062716706</v>
      </c>
      <c r="P28">
        <f t="shared" si="7"/>
        <v>-1.4273255405408221</v>
      </c>
      <c r="Q28">
        <f t="shared" si="8"/>
        <v>-1.627325540540822</v>
      </c>
      <c r="R28">
        <f t="shared" si="9"/>
        <v>40.189227684151447</v>
      </c>
      <c r="S28">
        <f t="shared" si="10"/>
        <v>0.27677084534076357</v>
      </c>
    </row>
    <row r="29" spans="5:19">
      <c r="E29">
        <f t="shared" si="11"/>
        <v>155</v>
      </c>
      <c r="F29">
        <f t="shared" si="17"/>
        <v>-1.9412746546557764</v>
      </c>
      <c r="G29">
        <f t="shared" si="18"/>
        <v>-2.1412746546557764</v>
      </c>
      <c r="H29" s="2">
        <f t="shared" si="19"/>
        <v>50.604656417720008</v>
      </c>
      <c r="I29">
        <f t="shared" si="20"/>
        <v>1.8448536269514726</v>
      </c>
      <c r="J29">
        <f t="shared" si="21"/>
        <v>1.6448536269514726</v>
      </c>
      <c r="K29">
        <f t="shared" si="4"/>
        <v>3.7595482906925159</v>
      </c>
      <c r="L29">
        <f t="shared" si="5"/>
        <v>0.66399009418831012</v>
      </c>
      <c r="M29">
        <f t="shared" si="6"/>
        <v>0.1232357100476662</v>
      </c>
      <c r="P29">
        <f t="shared" si="7"/>
        <v>-1.5912746546557766</v>
      </c>
      <c r="Q29">
        <f t="shared" si="8"/>
        <v>-1.7912746546557765</v>
      </c>
      <c r="R29">
        <f t="shared" si="9"/>
        <v>44.970060789562247</v>
      </c>
      <c r="S29">
        <f t="shared" si="10"/>
        <v>0.19066896812324785</v>
      </c>
    </row>
    <row r="32" spans="5:19">
      <c r="K32" t="s">
        <v>25</v>
      </c>
      <c r="L32" t="s">
        <v>16</v>
      </c>
      <c r="M32" t="s">
        <v>26</v>
      </c>
      <c r="N32" t="s">
        <v>27</v>
      </c>
    </row>
    <row r="33" spans="11:14">
      <c r="K33">
        <v>0</v>
      </c>
      <c r="L33">
        <f t="shared" ref="L33:L43" si="22">(V-K33)/So</f>
        <v>1</v>
      </c>
      <c r="M33">
        <f t="shared" ref="M33:M43" si="23">L33*(So-EXP((mu-rf)*T)*SoN/alpha)</f>
        <v>30.22386829174178</v>
      </c>
      <c r="N33">
        <f t="shared" ref="N33:N43" si="24">L33*So*(EXP((mu-rf)*T)-1)</f>
        <v>7.2508181254216542</v>
      </c>
    </row>
    <row r="34" spans="11:14">
      <c r="K34">
        <v>10</v>
      </c>
      <c r="L34">
        <f t="shared" si="22"/>
        <v>0.9</v>
      </c>
      <c r="M34">
        <f t="shared" si="23"/>
        <v>27.201481462567603</v>
      </c>
      <c r="N34">
        <f t="shared" si="24"/>
        <v>6.5257363128794887</v>
      </c>
    </row>
    <row r="35" spans="11:14">
      <c r="K35">
        <v>20</v>
      </c>
      <c r="L35">
        <f t="shared" si="22"/>
        <v>0.8</v>
      </c>
      <c r="M35">
        <f t="shared" si="23"/>
        <v>24.179094633393426</v>
      </c>
      <c r="N35">
        <f t="shared" si="24"/>
        <v>5.8006545003373233</v>
      </c>
    </row>
    <row r="36" spans="11:14">
      <c r="K36">
        <v>30</v>
      </c>
      <c r="L36">
        <f t="shared" si="22"/>
        <v>0.7</v>
      </c>
      <c r="M36">
        <f t="shared" si="23"/>
        <v>21.156707804219245</v>
      </c>
      <c r="N36">
        <f t="shared" si="24"/>
        <v>5.0755726877951579</v>
      </c>
    </row>
    <row r="37" spans="11:14">
      <c r="K37">
        <v>40</v>
      </c>
      <c r="L37">
        <f t="shared" si="22"/>
        <v>0.6</v>
      </c>
      <c r="M37">
        <f t="shared" si="23"/>
        <v>18.134320975045068</v>
      </c>
      <c r="N37">
        <f t="shared" si="24"/>
        <v>4.3504908752529925</v>
      </c>
    </row>
    <row r="38" spans="11:14">
      <c r="K38">
        <v>50</v>
      </c>
      <c r="L38">
        <f t="shared" si="22"/>
        <v>0.5</v>
      </c>
      <c r="M38">
        <f t="shared" si="23"/>
        <v>15.11193414587089</v>
      </c>
      <c r="N38">
        <f t="shared" si="24"/>
        <v>3.6254090627108271</v>
      </c>
    </row>
    <row r="39" spans="11:14">
      <c r="K39">
        <v>60</v>
      </c>
      <c r="L39">
        <f t="shared" si="22"/>
        <v>0.4</v>
      </c>
      <c r="M39">
        <f t="shared" si="23"/>
        <v>12.089547316696713</v>
      </c>
      <c r="N39">
        <f t="shared" si="24"/>
        <v>2.9003272501686617</v>
      </c>
    </row>
    <row r="40" spans="11:14">
      <c r="K40">
        <v>70</v>
      </c>
      <c r="L40">
        <f t="shared" si="22"/>
        <v>0.3</v>
      </c>
      <c r="M40">
        <f t="shared" si="23"/>
        <v>9.0671604875225338</v>
      </c>
      <c r="N40">
        <f t="shared" si="24"/>
        <v>2.1752454376264962</v>
      </c>
    </row>
    <row r="41" spans="11:14">
      <c r="K41">
        <v>80</v>
      </c>
      <c r="L41">
        <f t="shared" si="22"/>
        <v>0.2</v>
      </c>
      <c r="M41">
        <f t="shared" si="23"/>
        <v>6.0447736583483564</v>
      </c>
      <c r="N41">
        <f t="shared" si="24"/>
        <v>1.4501636250843308</v>
      </c>
    </row>
    <row r="42" spans="11:14">
      <c r="K42">
        <v>90</v>
      </c>
      <c r="L42">
        <f t="shared" si="22"/>
        <v>0.1</v>
      </c>
      <c r="M42">
        <f t="shared" si="23"/>
        <v>3.0223868291741782</v>
      </c>
      <c r="N42">
        <f t="shared" si="24"/>
        <v>0.72508181254216542</v>
      </c>
    </row>
    <row r="43" spans="11:14">
      <c r="K43">
        <v>100</v>
      </c>
      <c r="L43">
        <f t="shared" si="22"/>
        <v>0</v>
      </c>
      <c r="M43">
        <f t="shared" si="23"/>
        <v>0</v>
      </c>
      <c r="N43">
        <f t="shared" si="24"/>
        <v>0</v>
      </c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2013-10-15T09:57:09Z</dcterms:created>
  <dcterms:modified xsi:type="dcterms:W3CDTF">2015-09-09T06:48:46Z</dcterms:modified>
</cp:coreProperties>
</file>